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firstSheet="1" activeTab="1"/>
  </bookViews>
  <sheets>
    <sheet name="programme calculations" sheetId="1" state="hidden" r:id="rId1"/>
    <sheet name="programme effects" sheetId="2" r:id="rId2"/>
    <sheet name="current exposure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<sst xmlns="http://schemas.openxmlformats.org/spreadsheetml/2006/main" count="76" uniqueCount="48">
  <si>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Number</t>
  </si>
  <si>
    <t>% HIV +ve</t>
  </si>
  <si>
    <t># infected</t>
  </si>
  <si>
    <t># uninfected</t>
  </si>
  <si>
    <t>Partners per year</t>
  </si>
  <si>
    <t>Discordant partnerships*</t>
  </si>
  <si>
    <t>Consistent condom/sterile needle use</t>
  </si>
  <si>
    <t>Discordant partnerships with exchange of body fluids</t>
  </si>
  <si>
    <t>% newly infected</t>
  </si>
  <si>
    <t>Incident discordant partnerships with exchange of body fluids*</t>
  </si>
  <si>
    <t>Discordant partnerships with ARVs and exchange of body fluids*</t>
  </si>
  <si>
    <t>STI prevalence</t>
  </si>
  <si>
    <t>Commercial sex</t>
  </si>
  <si>
    <t>Female sex workers</t>
  </si>
  <si>
    <t>Clients</t>
  </si>
  <si>
    <t>IDU programmes</t>
  </si>
  <si>
    <t>Drug injectors</t>
  </si>
  <si>
    <t>Non-injecting partners</t>
  </si>
  <si>
    <t>MSM programmes</t>
  </si>
  <si>
    <t xml:space="preserve">MSM </t>
  </si>
  <si>
    <t>Youth programmes</t>
  </si>
  <si>
    <t xml:space="preserve">Male </t>
  </si>
  <si>
    <t>Female</t>
  </si>
  <si>
    <t>Total partnerships with high risk of HIV transmission</t>
  </si>
  <si>
    <t>TOTAL</t>
  </si>
  <si>
    <t>% of all discordant expsoures</t>
  </si>
  <si>
    <t>% of all discordant exposures with high risk of transmission</t>
  </si>
  <si>
    <t>HIV Prevention programmes</t>
  </si>
  <si>
    <t>IDU</t>
  </si>
  <si>
    <t>Sex workers</t>
  </si>
  <si>
    <t>Partners of IDU</t>
  </si>
  <si>
    <t>Young people</t>
  </si>
  <si>
    <t>Reduce needle sharing to:</t>
  </si>
  <si>
    <t>Reduce STI prevalence to:</t>
  </si>
  <si>
    <t>Number of exposed partnerships averted</t>
  </si>
  <si>
    <t>Number of highest risk exposed partnerships averted</t>
  </si>
  <si>
    <t>% of highest risk exposed partnerships averted</t>
  </si>
  <si>
    <t>% of all exposed partnerships averted</t>
  </si>
  <si>
    <t>Increase # on opiod substitution to:</t>
  </si>
  <si>
    <t>Increase % always using condoms to:</t>
  </si>
  <si>
    <t>Enter your pogramme targets into the blue boxes.</t>
  </si>
  <si>
    <t>These are levels for 100% of the risk population, so if your programme coverage is limited you may have to adjust overall levels accordingly</t>
  </si>
  <si>
    <t>Enter your data into the blue boxes</t>
  </si>
  <si>
    <t>Number with risk behaviour</t>
  </si>
  <si>
    <t># on ARVs</t>
  </si>
  <si>
    <t>Increase # on ARVs to</t>
  </si>
  <si>
    <t>Incident discordant partnerships with exchange of body fluids</t>
  </si>
  <si>
    <t>Discordant partnerships with ARVs and exchange of body fluids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</si>
</sst>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00%"/>
    <numFmt numFmtId="177" formatCode="_-* #,##0.0_-;\-* #,##0.0_-;_-* &quot;-&quot;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textRotation="90" wrapText="1"/>
    </xf>
    <xf numFmtId="0" fontId="0" fillId="0" borderId="0" xfId="0" applyAlignment="1">
      <alignment textRotation="90" wrapText="1"/>
    </xf>
    <xf numFmtId="0" fontId="4" fillId="0" borderId="2" xfId="0" applyFont="1" applyBorder="1" applyAlignment="1">
      <alignment/>
    </xf>
    <xf numFmtId="174" fontId="4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4" fontId="0" fillId="0" borderId="3" xfId="15" applyNumberFormat="1" applyBorder="1" applyAlignment="1">
      <alignment/>
    </xf>
    <xf numFmtId="9" fontId="0" fillId="0" borderId="3" xfId="21" applyBorder="1" applyAlignment="1">
      <alignment/>
    </xf>
    <xf numFmtId="175" fontId="0" fillId="0" borderId="3" xfId="21" applyNumberFormat="1" applyBorder="1" applyAlignment="1">
      <alignment/>
    </xf>
    <xf numFmtId="43" fontId="0" fillId="0" borderId="0" xfId="0" applyNumberFormat="1" applyAlignment="1">
      <alignment/>
    </xf>
    <xf numFmtId="0" fontId="4" fillId="0" borderId="3" xfId="0" applyFont="1" applyBorder="1" applyAlignment="1">
      <alignment/>
    </xf>
    <xf numFmtId="174" fontId="4" fillId="0" borderId="3" xfId="0" applyNumberFormat="1" applyFont="1" applyBorder="1" applyAlignment="1">
      <alignment/>
    </xf>
    <xf numFmtId="174" fontId="4" fillId="0" borderId="3" xfId="15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10" fontId="0" fillId="0" borderId="3" xfId="21" applyNumberFormat="1" applyBorder="1" applyAlignment="1">
      <alignment/>
    </xf>
    <xf numFmtId="1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174" fontId="0" fillId="0" borderId="4" xfId="15" applyNumberFormat="1" applyBorder="1" applyAlignment="1">
      <alignment/>
    </xf>
    <xf numFmtId="176" fontId="0" fillId="0" borderId="4" xfId="21" applyNumberFormat="1" applyBorder="1" applyAlignment="1">
      <alignment/>
    </xf>
    <xf numFmtId="9" fontId="0" fillId="0" borderId="4" xfId="21" applyBorder="1" applyAlignment="1">
      <alignment/>
    </xf>
    <xf numFmtId="1" fontId="0" fillId="0" borderId="4" xfId="15" applyNumberFormat="1" applyBorder="1" applyAlignment="1">
      <alignment/>
    </xf>
    <xf numFmtId="174" fontId="0" fillId="0" borderId="0" xfId="15" applyNumberFormat="1" applyAlignment="1">
      <alignment/>
    </xf>
    <xf numFmtId="9" fontId="0" fillId="0" borderId="0" xfId="21" applyAlignment="1">
      <alignment/>
    </xf>
    <xf numFmtId="0" fontId="0" fillId="0" borderId="0" xfId="0" applyAlignment="1">
      <alignment horizontal="center"/>
    </xf>
    <xf numFmtId="9" fontId="4" fillId="0" borderId="2" xfId="21" applyFont="1" applyBorder="1" applyAlignment="1">
      <alignment/>
    </xf>
    <xf numFmtId="9" fontId="4" fillId="0" borderId="3" xfId="21" applyFont="1" applyBorder="1" applyAlignment="1">
      <alignment/>
    </xf>
    <xf numFmtId="0" fontId="0" fillId="2" borderId="1" xfId="0" applyFill="1" applyBorder="1" applyAlignment="1">
      <alignment textRotation="90" wrapText="1"/>
    </xf>
    <xf numFmtId="174" fontId="4" fillId="2" borderId="2" xfId="0" applyNumberFormat="1" applyFont="1" applyFill="1" applyBorder="1" applyAlignment="1">
      <alignment/>
    </xf>
    <xf numFmtId="174" fontId="0" fillId="2" borderId="3" xfId="15" applyNumberFormat="1" applyFill="1" applyBorder="1" applyAlignment="1">
      <alignment/>
    </xf>
    <xf numFmtId="174" fontId="4" fillId="2" borderId="3" xfId="0" applyNumberFormat="1" applyFont="1" applyFill="1" applyBorder="1" applyAlignment="1">
      <alignment/>
    </xf>
    <xf numFmtId="174" fontId="4" fillId="2" borderId="3" xfId="15" applyNumberFormat="1" applyFont="1" applyFill="1" applyBorder="1" applyAlignment="1">
      <alignment/>
    </xf>
    <xf numFmtId="174" fontId="0" fillId="2" borderId="4" xfId="15" applyNumberFormat="1" applyFill="1" applyBorder="1" applyAlignment="1">
      <alignment/>
    </xf>
    <xf numFmtId="0" fontId="0" fillId="2" borderId="1" xfId="0" applyFill="1" applyBorder="1" applyAlignment="1">
      <alignment horizontal="center" textRotation="90" wrapText="1"/>
    </xf>
    <xf numFmtId="174" fontId="4" fillId="2" borderId="2" xfId="15" applyNumberFormat="1" applyFont="1" applyFill="1" applyBorder="1" applyAlignment="1">
      <alignment horizontal="center"/>
    </xf>
    <xf numFmtId="174" fontId="0" fillId="2" borderId="3" xfId="15" applyNumberFormat="1" applyFill="1" applyBorder="1" applyAlignment="1">
      <alignment horizontal="center"/>
    </xf>
    <xf numFmtId="174" fontId="4" fillId="2" borderId="3" xfId="15" applyNumberFormat="1" applyFont="1" applyFill="1" applyBorder="1" applyAlignment="1">
      <alignment horizontal="center"/>
    </xf>
    <xf numFmtId="174" fontId="0" fillId="2" borderId="4" xfId="15" applyNumberFormat="1" applyFill="1" applyBorder="1" applyAlignment="1">
      <alignment horizontal="center"/>
    </xf>
    <xf numFmtId="174" fontId="0" fillId="0" borderId="1" xfId="15" applyNumberFormat="1" applyBorder="1" applyAlignment="1">
      <alignment/>
    </xf>
    <xf numFmtId="9" fontId="0" fillId="0" borderId="1" xfId="21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Fill="1" applyBorder="1" applyAlignment="1">
      <alignment/>
    </xf>
    <xf numFmtId="174" fontId="4" fillId="0" borderId="1" xfId="15" applyNumberFormat="1" applyFont="1" applyBorder="1" applyAlignment="1">
      <alignment/>
    </xf>
    <xf numFmtId="174" fontId="4" fillId="2" borderId="1" xfId="15" applyNumberFormat="1" applyFont="1" applyFill="1" applyBorder="1" applyAlignment="1">
      <alignment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9" fontId="0" fillId="0" borderId="1" xfId="21" applyNumberFormat="1" applyBorder="1" applyAlignment="1">
      <alignment/>
    </xf>
    <xf numFmtId="9" fontId="0" fillId="0" borderId="1" xfId="21" applyBorder="1" applyAlignment="1">
      <alignment/>
    </xf>
    <xf numFmtId="0" fontId="0" fillId="0" borderId="2" xfId="0" applyBorder="1" applyAlignment="1">
      <alignment textRotation="90" wrapText="1"/>
    </xf>
    <xf numFmtId="9" fontId="0" fillId="0" borderId="3" xfId="21" applyNumberFormat="1" applyBorder="1" applyAlignment="1">
      <alignment/>
    </xf>
    <xf numFmtId="9" fontId="0" fillId="0" borderId="3" xfId="21" applyBorder="1" applyAlignment="1">
      <alignment/>
    </xf>
    <xf numFmtId="9" fontId="4" fillId="0" borderId="3" xfId="21" applyNumberFormat="1" applyFont="1" applyBorder="1" applyAlignment="1">
      <alignment/>
    </xf>
    <xf numFmtId="176" fontId="4" fillId="0" borderId="3" xfId="21" applyNumberFormat="1" applyFont="1" applyBorder="1" applyAlignment="1">
      <alignment/>
    </xf>
    <xf numFmtId="174" fontId="0" fillId="2" borderId="5" xfId="15" applyNumberFormat="1" applyFill="1" applyBorder="1" applyAlignment="1">
      <alignment horizontal="center"/>
    </xf>
    <xf numFmtId="9" fontId="0" fillId="0" borderId="0" xfId="21" applyBorder="1" applyAlignment="1">
      <alignment/>
    </xf>
    <xf numFmtId="0" fontId="4" fillId="0" borderId="0" xfId="0" applyFont="1" applyAlignment="1">
      <alignment horizontal="center"/>
    </xf>
    <xf numFmtId="174" fontId="0" fillId="2" borderId="2" xfId="15" applyNumberFormat="1" applyFont="1" applyFill="1" applyBorder="1" applyAlignment="1">
      <alignment/>
    </xf>
    <xf numFmtId="9" fontId="0" fillId="2" borderId="3" xfId="21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6" xfId="0" applyBorder="1" applyAlignment="1">
      <alignment/>
    </xf>
    <xf numFmtId="9" fontId="0" fillId="3" borderId="3" xfId="21" applyFill="1" applyBorder="1" applyAlignment="1">
      <alignment/>
    </xf>
    <xf numFmtId="0" fontId="0" fillId="3" borderId="3" xfId="0" applyFill="1" applyBorder="1" applyAlignment="1">
      <alignment/>
    </xf>
    <xf numFmtId="0" fontId="0" fillId="0" borderId="7" xfId="0" applyBorder="1" applyAlignment="1">
      <alignment/>
    </xf>
    <xf numFmtId="174" fontId="4" fillId="3" borderId="2" xfId="0" applyNumberFormat="1" applyFont="1" applyFill="1" applyBorder="1" applyAlignment="1">
      <alignment/>
    </xf>
    <xf numFmtId="174" fontId="0" fillId="3" borderId="3" xfId="15" applyNumberFormat="1" applyFill="1" applyBorder="1" applyAlignment="1">
      <alignment/>
    </xf>
    <xf numFmtId="174" fontId="4" fillId="3" borderId="3" xfId="0" applyNumberFormat="1" applyFont="1" applyFill="1" applyBorder="1" applyAlignment="1">
      <alignment/>
    </xf>
    <xf numFmtId="174" fontId="0" fillId="3" borderId="4" xfId="15" applyNumberFormat="1" applyFill="1" applyBorder="1" applyAlignment="1">
      <alignment/>
    </xf>
    <xf numFmtId="0" fontId="0" fillId="3" borderId="2" xfId="0" applyFill="1" applyBorder="1" applyAlignment="1">
      <alignment/>
    </xf>
    <xf numFmtId="9" fontId="0" fillId="3" borderId="3" xfId="21" applyFill="1" applyBorder="1" applyAlignment="1">
      <alignment/>
    </xf>
    <xf numFmtId="175" fontId="0" fillId="3" borderId="3" xfId="21" applyNumberFormat="1" applyFill="1" applyBorder="1" applyAlignment="1">
      <alignment/>
    </xf>
    <xf numFmtId="10" fontId="0" fillId="3" borderId="3" xfId="21" applyNumberFormat="1" applyFill="1" applyBorder="1" applyAlignment="1">
      <alignment/>
    </xf>
    <xf numFmtId="176" fontId="0" fillId="3" borderId="4" xfId="21" applyNumberFormat="1" applyFill="1" applyBorder="1" applyAlignment="1">
      <alignment/>
    </xf>
    <xf numFmtId="0" fontId="0" fillId="3" borderId="4" xfId="0" applyFill="1" applyBorder="1" applyAlignment="1">
      <alignment/>
    </xf>
    <xf numFmtId="9" fontId="0" fillId="3" borderId="4" xfId="21" applyFill="1" applyBorder="1" applyAlignment="1">
      <alignment/>
    </xf>
    <xf numFmtId="9" fontId="0" fillId="0" borderId="0" xfId="0" applyNumberFormat="1" applyAlignment="1">
      <alignment/>
    </xf>
    <xf numFmtId="9" fontId="4" fillId="2" borderId="3" xfId="2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3" borderId="2" xfId="0" applyNumberFormat="1" applyFill="1" applyBorder="1" applyAlignment="1">
      <alignment/>
    </xf>
    <xf numFmtId="0" fontId="0" fillId="3" borderId="3" xfId="21" applyNumberFormat="1" applyFill="1" applyBorder="1" applyAlignment="1">
      <alignment/>
    </xf>
    <xf numFmtId="0" fontId="0" fillId="3" borderId="4" xfId="21" applyNumberFormat="1" applyFill="1" applyBorder="1" applyAlignment="1">
      <alignment/>
    </xf>
    <xf numFmtId="3" fontId="0" fillId="3" borderId="4" xfId="21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21" applyNumberFormat="1" applyBorder="1" applyAlignment="1">
      <alignment/>
    </xf>
    <xf numFmtId="3" fontId="0" fillId="0" borderId="4" xfId="21" applyNumberFormat="1" applyBorder="1" applyAlignment="1">
      <alignment/>
    </xf>
    <xf numFmtId="0" fontId="4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85725</xdr:rowOff>
    </xdr:from>
    <xdr:to>
      <xdr:col>0</xdr:col>
      <xdr:colOff>0</xdr:colOff>
      <xdr:row>21</xdr:row>
      <xdr:rowOff>133350</xdr:rowOff>
    </xdr:to>
    <xdr:sp>
      <xdr:nvSpPr>
        <xdr:cNvPr id="1" name="Oval 1"/>
        <xdr:cNvSpPr>
          <a:spLocks/>
        </xdr:cNvSpPr>
      </xdr:nvSpPr>
      <xdr:spPr>
        <a:xfrm>
          <a:off x="0" y="4238625"/>
          <a:ext cx="0" cy="5334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66675</xdr:rowOff>
    </xdr:from>
    <xdr:to>
      <xdr:col>0</xdr:col>
      <xdr:colOff>0</xdr:colOff>
      <xdr:row>21</xdr:row>
      <xdr:rowOff>114300</xdr:rowOff>
    </xdr:to>
    <xdr:sp>
      <xdr:nvSpPr>
        <xdr:cNvPr id="2" name="Oval 2"/>
        <xdr:cNvSpPr>
          <a:spLocks/>
        </xdr:cNvSpPr>
      </xdr:nvSpPr>
      <xdr:spPr>
        <a:xfrm>
          <a:off x="0" y="4219575"/>
          <a:ext cx="0" cy="5334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85725</xdr:rowOff>
    </xdr:from>
    <xdr:to>
      <xdr:col>0</xdr:col>
      <xdr:colOff>0</xdr:colOff>
      <xdr:row>25</xdr:row>
      <xdr:rowOff>104775</xdr:rowOff>
    </xdr:to>
    <xdr:sp>
      <xdr:nvSpPr>
        <xdr:cNvPr id="3" name="Oval 3"/>
        <xdr:cNvSpPr>
          <a:spLocks/>
        </xdr:cNvSpPr>
      </xdr:nvSpPr>
      <xdr:spPr>
        <a:xfrm>
          <a:off x="0" y="4724400"/>
          <a:ext cx="0" cy="666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K24" sqref="K24"/>
    </sheetView>
  </sheetViews>
  <sheetFormatPr defaultColWidth="9.140625" defaultRowHeight="12.75"/>
  <cols>
    <col min="1" max="1" width="19.140625" style="0" customWidth="1"/>
    <col min="11" max="11" width="12.57421875" style="0" customWidth="1"/>
    <col min="13" max="13" width="14.00390625" style="0" customWidth="1"/>
  </cols>
  <sheetData>
    <row r="1" spans="1:17" ht="113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7" t="s">
        <v>7</v>
      </c>
      <c r="J1" s="1" t="s">
        <v>8</v>
      </c>
      <c r="K1" s="1" t="s">
        <v>9</v>
      </c>
      <c r="L1" s="1" t="s">
        <v>44</v>
      </c>
      <c r="M1" s="1" t="s">
        <v>10</v>
      </c>
      <c r="N1" s="1" t="s">
        <v>11</v>
      </c>
      <c r="O1" s="33" t="s">
        <v>23</v>
      </c>
      <c r="P1" s="48" t="s">
        <v>25</v>
      </c>
      <c r="Q1" s="48" t="s">
        <v>26</v>
      </c>
    </row>
    <row r="2" spans="1:17" ht="12.75">
      <c r="A2" s="3" t="s">
        <v>12</v>
      </c>
      <c r="B2" s="4">
        <f>SUM(B3:B4)</f>
        <v>505000</v>
      </c>
      <c r="C2" s="5"/>
      <c r="D2" s="4">
        <f>SUM(D3:D4)</f>
        <v>4690</v>
      </c>
      <c r="E2" s="4">
        <f>SUM(E3:E4)</f>
        <v>500310</v>
      </c>
      <c r="F2" s="5"/>
      <c r="G2" s="4">
        <f>SUM(G3:G4)</f>
        <v>436872</v>
      </c>
      <c r="H2" s="5"/>
      <c r="I2" s="28">
        <f>SUM(I3:I4)</f>
        <v>104849.28000000001</v>
      </c>
      <c r="J2" s="5"/>
      <c r="K2" s="4">
        <f>SUM(K3:K4)</f>
        <v>22572.863999999998</v>
      </c>
      <c r="L2" s="84"/>
      <c r="M2" s="4">
        <f>SUM(M3:M4)</f>
        <v>6156.611890577507</v>
      </c>
      <c r="N2" s="5"/>
      <c r="O2" s="34">
        <f>ROUND(SUM(O3:O4),-1)</f>
        <v>23790</v>
      </c>
      <c r="P2" s="25">
        <f>I2/I$16</f>
        <v>0.8834227799774328</v>
      </c>
      <c r="Q2" s="25">
        <f>O2/O$16</f>
        <v>0.7306511056511057</v>
      </c>
    </row>
    <row r="3" spans="1:17" ht="12.75">
      <c r="A3" s="6" t="s">
        <v>13</v>
      </c>
      <c r="B3" s="7">
        <v>35000</v>
      </c>
      <c r="C3" s="8">
        <v>0.04</v>
      </c>
      <c r="D3" s="7">
        <f>C3*B3</f>
        <v>1400</v>
      </c>
      <c r="E3" s="7">
        <f>B3-D3</f>
        <v>33600</v>
      </c>
      <c r="F3" s="6">
        <v>270</v>
      </c>
      <c r="G3" s="7">
        <f>E3*F3*C4</f>
        <v>63504</v>
      </c>
      <c r="H3" s="8">
        <f>'programme effects'!D4</f>
        <v>0.6</v>
      </c>
      <c r="I3" s="29">
        <f>$G3*(1-$H3)*(1-$H4)</f>
        <v>15240.960000000001</v>
      </c>
      <c r="J3" s="8">
        <v>0.24</v>
      </c>
      <c r="K3" s="7">
        <f>($G3*J4)*(1-$H3)*(1-$H4)</f>
        <v>1066.8672000000001</v>
      </c>
      <c r="L3" s="85">
        <f>'programme effects'!D6</f>
        <v>60</v>
      </c>
      <c r="M3" s="7">
        <f>($G3*(1-$H3)*(1-$H4))*(L4/D4)</f>
        <v>2316.255319148936</v>
      </c>
      <c r="N3" s="8">
        <f>'programme effects'!D5</f>
        <v>0.2</v>
      </c>
      <c r="O3" s="53">
        <f>ROUND(K3+((I3-K3-M3)*N3*N4),-1)</f>
        <v>1260</v>
      </c>
      <c r="P3" s="49">
        <f aca="true" t="shared" si="0" ref="P3:P15">I3/I$16</f>
        <v>0.12841491379554398</v>
      </c>
      <c r="Q3" s="54">
        <f>O3/O$16</f>
        <v>0.0386977886977887</v>
      </c>
    </row>
    <row r="4" spans="1:17" ht="12.75">
      <c r="A4" s="6" t="s">
        <v>14</v>
      </c>
      <c r="B4" s="7">
        <v>470000</v>
      </c>
      <c r="C4" s="9">
        <v>0.007</v>
      </c>
      <c r="D4" s="7">
        <f aca="true" t="shared" si="1" ref="D4:D15">C4*B4</f>
        <v>3290</v>
      </c>
      <c r="E4" s="7">
        <f>B4-D4</f>
        <v>466710</v>
      </c>
      <c r="F4" s="6">
        <v>20</v>
      </c>
      <c r="G4" s="7">
        <f>E4*C3*F4</f>
        <v>373368</v>
      </c>
      <c r="H4" s="8">
        <f>'programme effects'!E4</f>
        <v>0.4</v>
      </c>
      <c r="I4" s="29">
        <f>$G4*(1-$H4)*(1-$H3)</f>
        <v>89608.32</v>
      </c>
      <c r="J4" s="8">
        <v>0.07</v>
      </c>
      <c r="K4" s="7">
        <f>($G4*J3)*(1-$H4)*(1-$H3)</f>
        <v>21505.996799999997</v>
      </c>
      <c r="L4" s="85">
        <f>'programme effects'!E6</f>
        <v>500</v>
      </c>
      <c r="M4" s="7">
        <f>($G4*(1-$H4)*(1-$H3))*(L3/D3)</f>
        <v>3840.356571428572</v>
      </c>
      <c r="N4" s="8">
        <f>'programme effects'!E5</f>
        <v>0.08</v>
      </c>
      <c r="O4" s="35">
        <f>ROUND(K4+((I4-K4-M4)*N4*N3),-1)</f>
        <v>22530</v>
      </c>
      <c r="P4" s="49">
        <f t="shared" si="0"/>
        <v>0.7550078661818888</v>
      </c>
      <c r="Q4" s="50">
        <f>O4/O$16</f>
        <v>0.691953316953317</v>
      </c>
    </row>
    <row r="5" spans="1:17" ht="12.75">
      <c r="A5" s="6"/>
      <c r="B5" s="7"/>
      <c r="C5" s="8"/>
      <c r="D5" s="7"/>
      <c r="E5" s="7"/>
      <c r="F5" s="6"/>
      <c r="G5" s="7"/>
      <c r="H5" s="8"/>
      <c r="I5" s="29"/>
      <c r="J5" s="8"/>
      <c r="K5" s="7"/>
      <c r="L5" s="85"/>
      <c r="M5" s="6"/>
      <c r="N5" s="8"/>
      <c r="O5" s="35"/>
      <c r="P5" s="49"/>
      <c r="Q5" s="50"/>
    </row>
    <row r="6" spans="1:17" ht="12.75">
      <c r="A6" s="11" t="s">
        <v>15</v>
      </c>
      <c r="B6" s="12">
        <f>SUM(B7:B8)</f>
        <v>23181.81818181818</v>
      </c>
      <c r="C6" s="8"/>
      <c r="D6" s="12">
        <f>SUM(D7:D8)</f>
        <v>7827.272727272727</v>
      </c>
      <c r="E6" s="12">
        <f>SUM(E7:E8)</f>
        <v>15354.545454545454</v>
      </c>
      <c r="F6" s="6"/>
      <c r="G6" s="12">
        <f>SUM(G7:G8)</f>
        <v>46776</v>
      </c>
      <c r="H6" s="8"/>
      <c r="I6" s="30">
        <f>SUM(I7:I8)</f>
        <v>13836</v>
      </c>
      <c r="J6" s="8"/>
      <c r="K6" s="12">
        <f>SUM(K7:K8)</f>
        <v>1660.3200000000002</v>
      </c>
      <c r="L6" s="85"/>
      <c r="M6" s="12">
        <f>SUM(M7:M8)</f>
        <v>2515.6363636363635</v>
      </c>
      <c r="N6" s="8"/>
      <c r="O6" s="36">
        <f>SUM(O7:O8)</f>
        <v>8770</v>
      </c>
      <c r="P6" s="51">
        <f t="shared" si="0"/>
        <v>0.11657722002256724</v>
      </c>
      <c r="Q6" s="26">
        <f>O6/O$16</f>
        <v>0.26934889434889436</v>
      </c>
    </row>
    <row r="7" spans="1:17" ht="12.75">
      <c r="A7" s="6" t="s">
        <v>16</v>
      </c>
      <c r="B7" s="7">
        <f>'current exposure'!B7-'programme effects'!B3</f>
        <v>15000</v>
      </c>
      <c r="C7" s="8">
        <v>0.44</v>
      </c>
      <c r="D7" s="7">
        <f t="shared" si="1"/>
        <v>6600</v>
      </c>
      <c r="E7" s="7">
        <f>B7-D7</f>
        <v>8400</v>
      </c>
      <c r="F7" s="6">
        <v>11</v>
      </c>
      <c r="G7" s="7">
        <f>E7*C7*F7</f>
        <v>40656</v>
      </c>
      <c r="H7" s="8">
        <f>(1-'programme effects'!B2)</f>
        <v>0.75</v>
      </c>
      <c r="I7" s="29">
        <f>$G7*(1-$H7)</f>
        <v>10164</v>
      </c>
      <c r="J7" s="8">
        <v>0.12</v>
      </c>
      <c r="K7" s="7">
        <f>I7*J7</f>
        <v>1219.68</v>
      </c>
      <c r="L7" s="85">
        <f>'programme effects'!B6</f>
        <v>1200</v>
      </c>
      <c r="M7" s="7">
        <f>I7*(L7/D7)</f>
        <v>1848</v>
      </c>
      <c r="N7" s="8">
        <f>'programme effects'!B5</f>
        <v>0.07</v>
      </c>
      <c r="O7" s="35">
        <f>ROUND((I7-M7),-1)</f>
        <v>8320</v>
      </c>
      <c r="P7" s="49">
        <f t="shared" si="0"/>
        <v>0.08563825269654332</v>
      </c>
      <c r="Q7" s="50">
        <f>O7/O$16</f>
        <v>0.25552825552825553</v>
      </c>
    </row>
    <row r="8" spans="1:17" ht="12.75">
      <c r="A8" s="6" t="s">
        <v>17</v>
      </c>
      <c r="B8" s="7">
        <f>B7*('current exposure'!B8/'current exposure'!B7)</f>
        <v>8181.818181818181</v>
      </c>
      <c r="C8" s="8">
        <v>0.15</v>
      </c>
      <c r="D8" s="7">
        <f t="shared" si="1"/>
        <v>1227.272727272727</v>
      </c>
      <c r="E8" s="7">
        <f>B8-D8</f>
        <v>6954.545454545454</v>
      </c>
      <c r="F8" s="6">
        <v>2</v>
      </c>
      <c r="G8" s="7">
        <f>E8*F8*C7</f>
        <v>6120</v>
      </c>
      <c r="H8" s="8">
        <f>'programme effects'!C4</f>
        <v>0.4</v>
      </c>
      <c r="I8" s="29">
        <f>$G8*(1-$H8)</f>
        <v>3672</v>
      </c>
      <c r="J8" s="8">
        <v>0.17</v>
      </c>
      <c r="K8" s="7">
        <f>$G8*(1-$H8)*J7</f>
        <v>440.64</v>
      </c>
      <c r="L8" s="85">
        <f>'programme effects'!C6</f>
        <v>0</v>
      </c>
      <c r="M8" s="7">
        <f>$G8*(1-$H8)*(L7/D7)</f>
        <v>667.6363636363636</v>
      </c>
      <c r="N8" s="8">
        <f>'programme effects'!C5</f>
        <v>0.03</v>
      </c>
      <c r="O8" s="35">
        <f>ROUND(K8+((I8-K8-M8)*N8*N7),-1)</f>
        <v>450</v>
      </c>
      <c r="P8" s="49">
        <f t="shared" si="0"/>
        <v>0.030938967326023914</v>
      </c>
      <c r="Q8" s="50">
        <f>O8/O$16</f>
        <v>0.01382063882063882</v>
      </c>
    </row>
    <row r="9" spans="1:17" ht="12.75">
      <c r="A9" s="6"/>
      <c r="B9" s="7"/>
      <c r="C9" s="8"/>
      <c r="D9" s="7"/>
      <c r="E9" s="7"/>
      <c r="F9" s="6"/>
      <c r="G9" s="7"/>
      <c r="H9" s="8"/>
      <c r="I9" s="29"/>
      <c r="J9" s="8"/>
      <c r="K9" s="7"/>
      <c r="L9" s="85"/>
      <c r="M9" s="6"/>
      <c r="N9" s="8"/>
      <c r="O9" s="35"/>
      <c r="P9" s="49"/>
      <c r="Q9" s="50"/>
    </row>
    <row r="10" spans="1:17" ht="12.75">
      <c r="A10" s="11" t="s">
        <v>18</v>
      </c>
      <c r="B10" s="12">
        <f>SUM(B11:B12)</f>
        <v>35000</v>
      </c>
      <c r="C10" s="8"/>
      <c r="D10" s="7"/>
      <c r="E10" s="7"/>
      <c r="F10" s="6"/>
      <c r="G10" s="7"/>
      <c r="H10" s="8"/>
      <c r="I10" s="29"/>
      <c r="J10" s="8"/>
      <c r="K10" s="7"/>
      <c r="L10" s="85"/>
      <c r="M10" s="6"/>
      <c r="N10" s="8"/>
      <c r="O10" s="35"/>
      <c r="P10" s="49"/>
      <c r="Q10" s="50"/>
    </row>
    <row r="11" spans="1:17" ht="12.75">
      <c r="A11" s="6" t="s">
        <v>19</v>
      </c>
      <c r="B11" s="7">
        <v>35000</v>
      </c>
      <c r="C11" s="8">
        <v>0.17</v>
      </c>
      <c r="D11" s="13">
        <f t="shared" si="1"/>
        <v>5950</v>
      </c>
      <c r="E11" s="13">
        <f>B11-D11</f>
        <v>29050</v>
      </c>
      <c r="F11" s="6">
        <v>15</v>
      </c>
      <c r="G11" s="13">
        <f>E11*C11*F11</f>
        <v>74077.5</v>
      </c>
      <c r="H11" s="8">
        <f>'programme effects'!F4</f>
        <v>0.65</v>
      </c>
      <c r="I11" s="31">
        <f>$G11*(1-$H11)</f>
        <v>25927.125</v>
      </c>
      <c r="J11" s="8">
        <v>0.29</v>
      </c>
      <c r="K11" s="13">
        <f>I11*J11</f>
        <v>7518.866249999999</v>
      </c>
      <c r="L11" s="85">
        <f>'programme effects'!F6</f>
        <v>540</v>
      </c>
      <c r="M11" s="13">
        <f>I11*(L11/D11)</f>
        <v>2353.0499999999997</v>
      </c>
      <c r="N11" s="8">
        <f>'programme effects'!F5</f>
        <v>0.15</v>
      </c>
      <c r="O11" s="36">
        <f>ROUND((I11-M11),-1)</f>
        <v>23570</v>
      </c>
      <c r="P11" s="51">
        <f t="shared" si="0"/>
        <v>0.2184527432551029</v>
      </c>
      <c r="Q11" s="26">
        <f>O11/O$16</f>
        <v>0.7238943488943489</v>
      </c>
    </row>
    <row r="12" spans="1:17" ht="12.75">
      <c r="A12" s="6"/>
      <c r="B12" s="7"/>
      <c r="C12" s="8"/>
      <c r="D12" s="7"/>
      <c r="E12" s="7"/>
      <c r="F12" s="6"/>
      <c r="G12" s="7"/>
      <c r="H12" s="8"/>
      <c r="I12" s="29"/>
      <c r="J12" s="8"/>
      <c r="K12" s="7"/>
      <c r="L12" s="85"/>
      <c r="M12" s="6"/>
      <c r="N12" s="8"/>
      <c r="O12" s="35"/>
      <c r="P12" s="49"/>
      <c r="Q12" s="50"/>
    </row>
    <row r="13" spans="1:17" ht="12.75">
      <c r="A13" s="11" t="s">
        <v>20</v>
      </c>
      <c r="B13" s="12">
        <f>SUM(B14:B15)</f>
        <v>275000</v>
      </c>
      <c r="C13" s="8"/>
      <c r="D13" s="12">
        <f>SUM(D14:D15)</f>
        <v>22</v>
      </c>
      <c r="E13" s="12">
        <f>SUM(E14:E15)</f>
        <v>274978</v>
      </c>
      <c r="F13" s="6"/>
      <c r="G13" s="12">
        <f>SUM(G14:G15)</f>
        <v>24.748350000000002</v>
      </c>
      <c r="H13" s="8"/>
      <c r="I13" s="30">
        <f>SUM(I14:I15)</f>
        <v>0</v>
      </c>
      <c r="J13" s="8"/>
      <c r="K13" s="12">
        <f>SUM(K14:K15)</f>
        <v>0</v>
      </c>
      <c r="L13" s="85"/>
      <c r="M13" s="14">
        <f>SUM(M14:M15)</f>
        <v>0</v>
      </c>
      <c r="N13" s="8"/>
      <c r="O13" s="36">
        <f>SUM(O14:O15)</f>
        <v>0</v>
      </c>
      <c r="P13" s="52">
        <f t="shared" si="0"/>
        <v>0</v>
      </c>
      <c r="Q13" s="52">
        <f>O13/O$16</f>
        <v>0</v>
      </c>
    </row>
    <row r="14" spans="1:17" ht="12.75">
      <c r="A14" s="6" t="s">
        <v>21</v>
      </c>
      <c r="B14" s="7">
        <v>165000</v>
      </c>
      <c r="C14" s="15">
        <v>0.0001</v>
      </c>
      <c r="D14" s="7">
        <f t="shared" si="1"/>
        <v>16.5</v>
      </c>
      <c r="E14" s="7">
        <f>B14-D14</f>
        <v>164983.5</v>
      </c>
      <c r="F14" s="6">
        <v>1</v>
      </c>
      <c r="G14" s="7">
        <f>E14*F14*C15</f>
        <v>8.249175000000001</v>
      </c>
      <c r="H14" s="8">
        <f>'programme effects'!G4</f>
        <v>1</v>
      </c>
      <c r="I14" s="29">
        <f>$G14*(1-$H14)*(1-$H15)</f>
        <v>0</v>
      </c>
      <c r="J14" s="8">
        <v>0.19</v>
      </c>
      <c r="K14" s="7">
        <f>$G14*(1-$H14)*(1-$H15)*J15</f>
        <v>0</v>
      </c>
      <c r="L14" s="85">
        <f>'programme effects'!G6</f>
        <v>0.12</v>
      </c>
      <c r="M14" s="16">
        <f>($G14)*(1-$H14)*(1-$H15)*(L15/D15)</f>
        <v>0</v>
      </c>
      <c r="N14" s="8">
        <f>'programme effects'!G5</f>
        <v>0</v>
      </c>
      <c r="O14" s="35">
        <f>K14+((I14-K14-M14)*N14*N15)</f>
        <v>0</v>
      </c>
      <c r="P14" s="49">
        <f t="shared" si="0"/>
        <v>0</v>
      </c>
      <c r="Q14" s="50">
        <f>O14/O$16</f>
        <v>0</v>
      </c>
    </row>
    <row r="15" spans="1:17" ht="12.75">
      <c r="A15" s="17" t="s">
        <v>22</v>
      </c>
      <c r="B15" s="18">
        <v>110000</v>
      </c>
      <c r="C15" s="19">
        <v>5E-05</v>
      </c>
      <c r="D15" s="18">
        <f t="shared" si="1"/>
        <v>5.5</v>
      </c>
      <c r="E15" s="18">
        <f>B15-D15</f>
        <v>109994.5</v>
      </c>
      <c r="F15" s="17">
        <v>1.5</v>
      </c>
      <c r="G15" s="18">
        <f>E15*C14*F15</f>
        <v>16.499175</v>
      </c>
      <c r="H15" s="20">
        <f>H14</f>
        <v>1</v>
      </c>
      <c r="I15" s="32">
        <f>$G15*(1-$H15)*(1-$H14)</f>
        <v>0</v>
      </c>
      <c r="J15" s="20">
        <v>0.26</v>
      </c>
      <c r="K15" s="18">
        <f>$G15*(1-$H15)*(1-$H14)*J14</f>
        <v>0</v>
      </c>
      <c r="L15" s="86">
        <f>L14</f>
        <v>0.12</v>
      </c>
      <c r="M15" s="21">
        <f>($G15)*(1-$H15)*(1-$H14)*(L14/D14)</f>
        <v>0</v>
      </c>
      <c r="N15" s="20">
        <f>N14</f>
        <v>0</v>
      </c>
      <c r="O15" s="37">
        <f>K15+((I15-K15-M15)*N15*N14)</f>
        <v>0</v>
      </c>
      <c r="P15" s="49">
        <f t="shared" si="0"/>
        <v>0</v>
      </c>
      <c r="Q15" s="50">
        <f>O15/O$16</f>
        <v>0</v>
      </c>
    </row>
    <row r="16" spans="1:17" ht="12.75">
      <c r="A16" s="41" t="s">
        <v>24</v>
      </c>
      <c r="B16" s="42">
        <f>B2+B6+B10+B13</f>
        <v>838181.8181818182</v>
      </c>
      <c r="C16" s="39"/>
      <c r="D16" s="42">
        <f>D2+D6+D10+D13</f>
        <v>12539.272727272728</v>
      </c>
      <c r="E16" s="42">
        <f>E2+E6+E10+E13</f>
        <v>790642.5454545454</v>
      </c>
      <c r="F16" s="40"/>
      <c r="G16" s="42">
        <f>G2+G6+G10+G13</f>
        <v>483672.74835</v>
      </c>
      <c r="H16" s="38"/>
      <c r="I16" s="43">
        <f>I2+I6+I10+I13</f>
        <v>118685.28000000001</v>
      </c>
      <c r="J16" s="40"/>
      <c r="K16" s="42">
        <f>K2+K6+K10+K13</f>
        <v>24233.183999999997</v>
      </c>
      <c r="L16" s="40"/>
      <c r="M16" s="42">
        <f>M2+M6+M10+M13</f>
        <v>8672.248254213871</v>
      </c>
      <c r="N16" s="39"/>
      <c r="O16" s="43">
        <f>O2+O6+O10+O13</f>
        <v>32560</v>
      </c>
      <c r="P16" s="46"/>
      <c r="Q16" s="4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49.8515625" style="0" customWidth="1"/>
    <col min="2" max="2" width="11.8515625" style="0" customWidth="1"/>
    <col min="3" max="3" width="15.7109375" style="0" customWidth="1"/>
    <col min="4" max="4" width="11.28125" style="0" customWidth="1"/>
    <col min="5" max="5" width="10.57421875" style="0" customWidth="1"/>
    <col min="6" max="6" width="10.421875" style="0" customWidth="1"/>
    <col min="7" max="7" width="13.57421875" style="0" customWidth="1"/>
    <col min="8" max="8" width="14.421875" style="0" customWidth="1"/>
  </cols>
  <sheetData>
    <row r="1" spans="1:7" ht="19.5" customHeight="1">
      <c r="A1" s="58" t="s">
        <v>27</v>
      </c>
      <c r="B1" s="58" t="s">
        <v>28</v>
      </c>
      <c r="C1" s="58" t="s">
        <v>30</v>
      </c>
      <c r="D1" s="58" t="s">
        <v>29</v>
      </c>
      <c r="E1" s="58" t="s">
        <v>14</v>
      </c>
      <c r="F1" s="58" t="s">
        <v>19</v>
      </c>
      <c r="G1" s="58" t="s">
        <v>31</v>
      </c>
    </row>
    <row r="2" spans="1:7" ht="19.5" customHeight="1">
      <c r="A2" s="59" t="s">
        <v>32</v>
      </c>
      <c r="B2" s="60">
        <v>0.25</v>
      </c>
      <c r="C2" s="50"/>
      <c r="D2" s="50"/>
      <c r="E2" s="50"/>
      <c r="F2" s="50"/>
      <c r="G2" s="50"/>
    </row>
    <row r="3" spans="1:7" ht="19.5" customHeight="1">
      <c r="A3" s="59" t="s">
        <v>38</v>
      </c>
      <c r="B3" s="61">
        <v>7000</v>
      </c>
      <c r="C3" s="6"/>
      <c r="D3" s="6"/>
      <c r="E3" s="6"/>
      <c r="F3" s="6"/>
      <c r="G3" s="6"/>
    </row>
    <row r="4" spans="1:7" ht="19.5" customHeight="1">
      <c r="A4" s="59" t="s">
        <v>39</v>
      </c>
      <c r="B4" s="50"/>
      <c r="C4" s="60">
        <v>0.4</v>
      </c>
      <c r="D4" s="60">
        <v>0.6</v>
      </c>
      <c r="E4" s="60">
        <v>0.4</v>
      </c>
      <c r="F4" s="60">
        <v>0.65</v>
      </c>
      <c r="G4" s="60">
        <v>1</v>
      </c>
    </row>
    <row r="5" spans="1:7" ht="19.5" customHeight="1">
      <c r="A5" s="59" t="s">
        <v>33</v>
      </c>
      <c r="B5" s="60">
        <v>0.07</v>
      </c>
      <c r="C5" s="60">
        <v>0.03</v>
      </c>
      <c r="D5" s="60">
        <v>0.2</v>
      </c>
      <c r="E5" s="60">
        <v>0.08</v>
      </c>
      <c r="F5" s="60">
        <v>0.15</v>
      </c>
      <c r="G5" s="60">
        <v>0</v>
      </c>
    </row>
    <row r="6" spans="1:7" ht="19.5" customHeight="1">
      <c r="A6" s="62" t="s">
        <v>45</v>
      </c>
      <c r="B6" s="83">
        <v>1200</v>
      </c>
      <c r="C6" s="83"/>
      <c r="D6" s="83">
        <v>60</v>
      </c>
      <c r="E6" s="83">
        <v>500</v>
      </c>
      <c r="F6" s="83">
        <v>540</v>
      </c>
      <c r="G6" s="83">
        <v>0.12</v>
      </c>
    </row>
    <row r="7" spans="2:8" ht="19.5" customHeight="1">
      <c r="B7" s="44"/>
      <c r="C7" s="44"/>
      <c r="D7" s="44"/>
      <c r="E7" s="44"/>
      <c r="F7" s="44"/>
      <c r="G7" s="44"/>
      <c r="H7" s="55" t="s">
        <v>24</v>
      </c>
    </row>
    <row r="8" spans="1:8" ht="19.5" customHeight="1">
      <c r="A8" s="5" t="s">
        <v>34</v>
      </c>
      <c r="B8" s="56">
        <f>'current exposure'!$I7-'programme calculations'!$I7</f>
        <v>36346.46400000001</v>
      </c>
      <c r="C8" s="56">
        <f>'current exposure'!$I8-'programme calculations'!$I8</f>
        <v>4675.68</v>
      </c>
      <c r="D8" s="56">
        <f>'current exposure'!$I3-'programme calculations'!$I3</f>
        <v>37886.486399999994</v>
      </c>
      <c r="E8" s="56">
        <f>'current exposure'!$I4-'programme calculations'!$I4</f>
        <v>222751.34879999998</v>
      </c>
      <c r="F8" s="56">
        <f>'current exposure'!$I11-'programme calculations'!$I11</f>
        <v>20741.699999999997</v>
      </c>
      <c r="G8" s="56">
        <f>'current exposure'!$I13-'programme calculations'!$I13</f>
        <v>19.600693200000002</v>
      </c>
      <c r="H8" s="28">
        <f>SUM(B8:G8)</f>
        <v>322421.2798932</v>
      </c>
    </row>
    <row r="9" spans="1:8" ht="19.5" customHeight="1">
      <c r="A9" s="6" t="s">
        <v>37</v>
      </c>
      <c r="B9" s="57">
        <f>B8/'current exposure'!$I$16</f>
        <v>0.0864640874340314</v>
      </c>
      <c r="C9" s="57">
        <f>C8/'current exposure'!$I$16</f>
        <v>0.011122908801625156</v>
      </c>
      <c r="D9" s="57">
        <f>D8/'current exposure'!$I$16</f>
        <v>0.09012762486765812</v>
      </c>
      <c r="E9" s="57">
        <f>E8/'current exposure'!$I$16</f>
        <v>0.5299000227007398</v>
      </c>
      <c r="F9" s="57">
        <f>F8/'current exposure'!$I$16</f>
        <v>0.04934213579429483</v>
      </c>
      <c r="G9" s="57">
        <f>G8/'current exposure'!$I$16</f>
        <v>4.662781090926546E-05</v>
      </c>
      <c r="H9" s="75">
        <f>H8/'current exposure'!$I$16</f>
        <v>0.7670034074092584</v>
      </c>
    </row>
    <row r="10" spans="1:8" ht="19.5" customHeight="1">
      <c r="A10" s="6"/>
      <c r="B10" s="6"/>
      <c r="C10" s="6"/>
      <c r="D10" s="6"/>
      <c r="E10" s="6"/>
      <c r="F10" s="6"/>
      <c r="G10" s="6"/>
      <c r="H10" s="11"/>
    </row>
    <row r="11" spans="1:8" ht="19.5" customHeight="1">
      <c r="A11" s="11" t="s">
        <v>35</v>
      </c>
      <c r="B11" s="31">
        <f>'current exposure'!$O7-'programme calculations'!$O7</f>
        <v>33960</v>
      </c>
      <c r="C11" s="31">
        <f>'current exposure'!$O8-'programme calculations'!$O8</f>
        <v>590</v>
      </c>
      <c r="D11" s="31">
        <f>'current exposure'!$O3-'programme calculations'!$O3</f>
        <v>4640</v>
      </c>
      <c r="E11" s="31">
        <f>'current exposure'!$O4-'programme calculations'!$O4</f>
        <v>63720</v>
      </c>
      <c r="F11" s="31">
        <f>'current exposure'!$O11-'programme calculations'!$O11</f>
        <v>20350</v>
      </c>
      <c r="G11" s="31">
        <f>'current exposure'!$O13-'programme calculations'!$O13</f>
        <v>4.218472115352</v>
      </c>
      <c r="H11" s="30">
        <f>SUM(B11:G11)</f>
        <v>123264.21847211535</v>
      </c>
    </row>
    <row r="12" spans="1:8" ht="19.5" customHeight="1">
      <c r="A12" s="87" t="s">
        <v>36</v>
      </c>
      <c r="B12" s="75">
        <f>B11/'current exposure'!$O$16</f>
        <v>0.2506750021000489</v>
      </c>
      <c r="C12" s="75">
        <f>C11/'current exposure'!$O$16</f>
        <v>0.004355072180183417</v>
      </c>
      <c r="D12" s="75">
        <f>D11/'current exposure'!$O$16</f>
        <v>0.034250059179747556</v>
      </c>
      <c r="E12" s="75">
        <f>E11/'current exposure'!$O$16</f>
        <v>0.4703477954598091</v>
      </c>
      <c r="F12" s="75">
        <f>F11/'current exposure'!$O$16</f>
        <v>0.15021308282497042</v>
      </c>
      <c r="G12" s="75">
        <f>G11/'current exposure'!$O$16</f>
        <v>3.1138560258388116E-05</v>
      </c>
      <c r="H12" s="75">
        <f>H11/'current exposure'!$O$16</f>
        <v>0.9098721503050178</v>
      </c>
    </row>
    <row r="13" ht="12.75">
      <c r="B13" s="74"/>
    </row>
    <row r="15" ht="12.75">
      <c r="A15" s="76" t="s">
        <v>40</v>
      </c>
    </row>
    <row r="16" ht="12.75">
      <c r="A16" t="s">
        <v>41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M1" sqref="M1"/>
    </sheetView>
  </sheetViews>
  <sheetFormatPr defaultColWidth="9.140625" defaultRowHeight="12.75"/>
  <cols>
    <col min="1" max="1" width="18.7109375" style="0" customWidth="1"/>
    <col min="2" max="2" width="9.421875" style="0" customWidth="1"/>
    <col min="3" max="4" width="8.28125" style="0" customWidth="1"/>
    <col min="5" max="5" width="10.7109375" style="0" customWidth="1"/>
    <col min="6" max="6" width="5.8515625" style="0" customWidth="1"/>
    <col min="7" max="7" width="9.57421875" style="0" customWidth="1"/>
    <col min="8" max="8" width="9.421875" style="0" customWidth="1"/>
    <col min="9" max="9" width="12.421875" style="0" customWidth="1"/>
    <col min="10" max="10" width="7.7109375" style="0" customWidth="1"/>
    <col min="11" max="11" width="10.140625" style="0" customWidth="1"/>
    <col min="12" max="12" width="7.00390625" style="0" customWidth="1"/>
    <col min="13" max="13" width="14.8515625" style="0" customWidth="1"/>
    <col min="14" max="14" width="5.7109375" style="0" customWidth="1"/>
    <col min="15" max="15" width="10.140625" style="24" customWidth="1"/>
    <col min="16" max="16" width="10.421875" style="0" customWidth="1"/>
    <col min="17" max="17" width="10.57421875" style="0" customWidth="1"/>
    <col min="18" max="18" width="10.140625" style="0" customWidth="1"/>
  </cols>
  <sheetData>
    <row r="1" spans="1:17" s="2" customFormat="1" ht="109.5" customHeight="1">
      <c r="A1" s="1"/>
      <c r="B1" s="78" t="s">
        <v>43</v>
      </c>
      <c r="C1" s="78" t="s">
        <v>1</v>
      </c>
      <c r="D1" s="78" t="s">
        <v>2</v>
      </c>
      <c r="E1" s="78" t="s">
        <v>3</v>
      </c>
      <c r="F1" s="78" t="s">
        <v>4</v>
      </c>
      <c r="G1" s="78" t="s">
        <v>5</v>
      </c>
      <c r="H1" s="78" t="s">
        <v>6</v>
      </c>
      <c r="I1" s="33" t="s">
        <v>7</v>
      </c>
      <c r="J1" s="78" t="s">
        <v>8</v>
      </c>
      <c r="K1" s="78" t="s">
        <v>46</v>
      </c>
      <c r="L1" s="78" t="s">
        <v>44</v>
      </c>
      <c r="M1" s="78" t="s">
        <v>47</v>
      </c>
      <c r="N1" s="78" t="s">
        <v>11</v>
      </c>
      <c r="O1" s="33" t="s">
        <v>23</v>
      </c>
      <c r="P1" s="79" t="s">
        <v>25</v>
      </c>
      <c r="Q1" s="79" t="s">
        <v>26</v>
      </c>
    </row>
    <row r="2" spans="1:18" ht="12.75">
      <c r="A2" s="3" t="s">
        <v>12</v>
      </c>
      <c r="B2" s="63">
        <f>SUM(B3:B4)</f>
        <v>505000</v>
      </c>
      <c r="C2" s="67"/>
      <c r="D2" s="4">
        <f>SUM(D3:D4)</f>
        <v>4690</v>
      </c>
      <c r="E2" s="4">
        <f>SUM(E3:E4)</f>
        <v>500310</v>
      </c>
      <c r="F2" s="67"/>
      <c r="G2" s="4">
        <f>SUM(G3:G4)</f>
        <v>436872</v>
      </c>
      <c r="H2" s="67"/>
      <c r="I2" s="28">
        <f>SUM(I3:I4)</f>
        <v>365487.1152</v>
      </c>
      <c r="J2" s="67"/>
      <c r="K2" s="4">
        <f>SUM(K3:K4)</f>
        <v>78685.24175999999</v>
      </c>
      <c r="L2" s="80"/>
      <c r="M2" s="4">
        <f>SUM(M3:M4)</f>
        <v>14091.973165714284</v>
      </c>
      <c r="N2" s="67"/>
      <c r="O2" s="34">
        <f>ROUND(SUM(O3:O4),-1)</f>
        <v>92150</v>
      </c>
      <c r="P2" s="25">
        <f>I2/I$16</f>
        <v>0.8694521118935998</v>
      </c>
      <c r="Q2" s="25">
        <f>O2/O$16</f>
        <v>0.6802032227184779</v>
      </c>
      <c r="R2" s="45"/>
    </row>
    <row r="3" spans="1:17" ht="12.75">
      <c r="A3" s="6" t="s">
        <v>13</v>
      </c>
      <c r="B3" s="64">
        <v>35000</v>
      </c>
      <c r="C3" s="68">
        <v>0.04</v>
      </c>
      <c r="D3" s="7">
        <f>C3*B3</f>
        <v>1400</v>
      </c>
      <c r="E3" s="7">
        <f>B3-D3</f>
        <v>33600</v>
      </c>
      <c r="F3" s="61">
        <v>270</v>
      </c>
      <c r="G3" s="7">
        <f>E3*F3*C4</f>
        <v>63504</v>
      </c>
      <c r="H3" s="68">
        <v>0.11</v>
      </c>
      <c r="I3" s="29">
        <f>$G3*(1-$H3)*(1-$H4)</f>
        <v>53127.44639999999</v>
      </c>
      <c r="J3" s="68">
        <v>0.24</v>
      </c>
      <c r="K3" s="7">
        <f>($G3*J4)*(1-$H3)*(1-$H4)</f>
        <v>3718.9212480000006</v>
      </c>
      <c r="L3" s="81">
        <v>40</v>
      </c>
      <c r="M3" s="7">
        <f>($G3*(1-$H3)*(1-$H4))*(L4/D4)</f>
        <v>5167.4112</v>
      </c>
      <c r="N3" s="68">
        <v>0.38</v>
      </c>
      <c r="O3" s="53">
        <f>ROUND(K3+((I3-K3-M3)*N3*N4),-1)</f>
        <v>5900</v>
      </c>
      <c r="P3" s="49">
        <f aca="true" t="shared" si="0" ref="P3:P15">I3/I$16</f>
        <v>0.12638412833436605</v>
      </c>
      <c r="Q3" s="54">
        <f>O3/O$16</f>
        <v>0.043550721801834176</v>
      </c>
    </row>
    <row r="4" spans="1:18" ht="12.75">
      <c r="A4" s="6" t="s">
        <v>14</v>
      </c>
      <c r="B4" s="64">
        <v>470000</v>
      </c>
      <c r="C4" s="69">
        <v>0.007</v>
      </c>
      <c r="D4" s="7">
        <f aca="true" t="shared" si="1" ref="D4:D15">C4*B4</f>
        <v>3290</v>
      </c>
      <c r="E4" s="7">
        <f>B4-D4</f>
        <v>466710</v>
      </c>
      <c r="F4" s="61">
        <v>20</v>
      </c>
      <c r="G4" s="7">
        <f>E4*C3*F4</f>
        <v>373368</v>
      </c>
      <c r="H4" s="68">
        <v>0.06</v>
      </c>
      <c r="I4" s="29">
        <f>$G4*(1-$H4)*(1-$H3)</f>
        <v>312359.6688</v>
      </c>
      <c r="J4" s="68">
        <v>0.07</v>
      </c>
      <c r="K4" s="7">
        <f>($G4*J3)*(1-$H4)*(1-$H3)</f>
        <v>74966.32051199999</v>
      </c>
      <c r="L4" s="81">
        <v>320</v>
      </c>
      <c r="M4" s="7">
        <f>($G4*(1-$H4)*(1-$H3))*(L3/D3)</f>
        <v>8924.561965714285</v>
      </c>
      <c r="N4" s="68">
        <v>0.13</v>
      </c>
      <c r="O4" s="35">
        <f>ROUND(K4+((I4-K4-M4)*N4*N3),-1)</f>
        <v>86250</v>
      </c>
      <c r="P4" s="49">
        <f t="shared" si="0"/>
        <v>0.7430679835592338</v>
      </c>
      <c r="Q4" s="50">
        <f>O4/O$16</f>
        <v>0.6366525009166437</v>
      </c>
      <c r="R4" s="10"/>
    </row>
    <row r="5" spans="1:17" ht="12.75">
      <c r="A5" s="6"/>
      <c r="B5" s="64"/>
      <c r="C5" s="68"/>
      <c r="D5" s="7"/>
      <c r="E5" s="7"/>
      <c r="F5" s="61"/>
      <c r="G5" s="7"/>
      <c r="H5" s="68"/>
      <c r="I5" s="29"/>
      <c r="J5" s="68"/>
      <c r="K5" s="7"/>
      <c r="L5" s="81"/>
      <c r="M5" s="6"/>
      <c r="N5" s="68"/>
      <c r="O5" s="35"/>
      <c r="P5" s="49"/>
      <c r="Q5" s="50"/>
    </row>
    <row r="6" spans="1:17" ht="12.75">
      <c r="A6" s="11" t="s">
        <v>15</v>
      </c>
      <c r="B6" s="65">
        <f>SUM(B7:B8)</f>
        <v>34000</v>
      </c>
      <c r="C6" s="68"/>
      <c r="D6" s="12">
        <f>SUM(D7:D8)</f>
        <v>11480</v>
      </c>
      <c r="E6" s="12">
        <f>SUM(E7:E8)</f>
        <v>22520</v>
      </c>
      <c r="F6" s="61"/>
      <c r="G6" s="12">
        <f>SUM(G7:G8)</f>
        <v>68604.8</v>
      </c>
      <c r="H6" s="68"/>
      <c r="I6" s="30">
        <f>SUM(I7:I8)</f>
        <v>54858.14400000001</v>
      </c>
      <c r="J6" s="68"/>
      <c r="K6" s="12">
        <f>SUM(K7:K8)</f>
        <v>6582.97728</v>
      </c>
      <c r="L6" s="81"/>
      <c r="M6" s="12">
        <f>SUM(M7:M8)</f>
        <v>4987.104000000001</v>
      </c>
      <c r="N6" s="68"/>
      <c r="O6" s="36">
        <f>SUM(O7:O8)</f>
        <v>43320</v>
      </c>
      <c r="P6" s="51">
        <f t="shared" si="0"/>
        <v>0.13050126029549078</v>
      </c>
      <c r="Q6" s="26">
        <f>O6/O$16</f>
        <v>0.3197656387212638</v>
      </c>
    </row>
    <row r="7" spans="1:17" ht="12.75">
      <c r="A7" s="6" t="s">
        <v>16</v>
      </c>
      <c r="B7" s="64">
        <v>22000</v>
      </c>
      <c r="C7" s="68">
        <v>0.44</v>
      </c>
      <c r="D7" s="7">
        <f t="shared" si="1"/>
        <v>9680</v>
      </c>
      <c r="E7" s="7">
        <f>B7-D7</f>
        <v>12320</v>
      </c>
      <c r="F7" s="61">
        <v>11</v>
      </c>
      <c r="G7" s="7">
        <f>E7*C7*F7</f>
        <v>59628.8</v>
      </c>
      <c r="H7" s="68">
        <v>0.22</v>
      </c>
      <c r="I7" s="29">
        <f>$G7*(1-$H7)</f>
        <v>46510.46400000001</v>
      </c>
      <c r="J7" s="68">
        <v>0.12</v>
      </c>
      <c r="K7" s="7">
        <f>I7*J7</f>
        <v>5581.25568</v>
      </c>
      <c r="L7" s="81">
        <v>880</v>
      </c>
      <c r="M7" s="7">
        <f>I7*(L7/D7)</f>
        <v>4228.224000000001</v>
      </c>
      <c r="N7" s="68">
        <v>0.1</v>
      </c>
      <c r="O7" s="35">
        <f>ROUND((I7-M7),-1)</f>
        <v>42280</v>
      </c>
      <c r="P7" s="49">
        <f t="shared" si="0"/>
        <v>0.11064308280148984</v>
      </c>
      <c r="Q7" s="50">
        <f>O7/O$16</f>
        <v>0.3120889013189066</v>
      </c>
    </row>
    <row r="8" spans="1:17" ht="12.75">
      <c r="A8" s="6" t="s">
        <v>17</v>
      </c>
      <c r="B8" s="64">
        <v>12000</v>
      </c>
      <c r="C8" s="68">
        <v>0.15</v>
      </c>
      <c r="D8" s="7">
        <f t="shared" si="1"/>
        <v>1800</v>
      </c>
      <c r="E8" s="7">
        <f>B8-D8</f>
        <v>10200</v>
      </c>
      <c r="F8" s="61">
        <v>2</v>
      </c>
      <c r="G8" s="7">
        <f>E8*F8*C7</f>
        <v>8976</v>
      </c>
      <c r="H8" s="68">
        <v>0.07</v>
      </c>
      <c r="I8" s="29">
        <f>$G8*(1-$H8)</f>
        <v>8347.68</v>
      </c>
      <c r="J8" s="68"/>
      <c r="K8" s="7">
        <f>$G8*(1-$H8)*J7</f>
        <v>1001.7216</v>
      </c>
      <c r="L8" s="81"/>
      <c r="M8" s="7">
        <f>$G8*(1-$H8)*(L7/D7)</f>
        <v>758.88</v>
      </c>
      <c r="N8" s="68">
        <v>0.06</v>
      </c>
      <c r="O8" s="35">
        <f>ROUND(K8+((I8-K8-M8)*N8*N7),-1)</f>
        <v>1040</v>
      </c>
      <c r="P8" s="49">
        <f t="shared" si="0"/>
        <v>0.01985817749400093</v>
      </c>
      <c r="Q8" s="50">
        <f>O8/O$16</f>
        <v>0.00767673740235721</v>
      </c>
    </row>
    <row r="9" spans="1:17" ht="12.75">
      <c r="A9" s="6"/>
      <c r="B9" s="64"/>
      <c r="C9" s="68"/>
      <c r="D9" s="7"/>
      <c r="E9" s="7"/>
      <c r="F9" s="61"/>
      <c r="G9" s="7"/>
      <c r="H9" s="68"/>
      <c r="I9" s="29"/>
      <c r="J9" s="68"/>
      <c r="K9" s="7"/>
      <c r="L9" s="81"/>
      <c r="M9" s="6"/>
      <c r="N9" s="68"/>
      <c r="O9" s="35"/>
      <c r="P9" s="49"/>
      <c r="Q9" s="50"/>
    </row>
    <row r="10" spans="1:17" ht="12.75">
      <c r="A10" s="11" t="s">
        <v>18</v>
      </c>
      <c r="B10" s="65">
        <f>SUM(B11:B12)</f>
        <v>35000</v>
      </c>
      <c r="C10" s="68"/>
      <c r="D10" s="7"/>
      <c r="E10" s="7"/>
      <c r="F10" s="61"/>
      <c r="G10" s="7"/>
      <c r="H10" s="68"/>
      <c r="I10" s="29"/>
      <c r="J10" s="68"/>
      <c r="K10" s="7"/>
      <c r="L10" s="81"/>
      <c r="M10" s="6"/>
      <c r="N10" s="68"/>
      <c r="O10" s="35"/>
      <c r="P10" s="49"/>
      <c r="Q10" s="50"/>
    </row>
    <row r="11" spans="1:17" ht="12.75">
      <c r="A11" s="6" t="s">
        <v>19</v>
      </c>
      <c r="B11" s="64">
        <v>35000</v>
      </c>
      <c r="C11" s="68">
        <v>0.17</v>
      </c>
      <c r="D11" s="13">
        <f t="shared" si="1"/>
        <v>5950</v>
      </c>
      <c r="E11" s="13">
        <f>B11-D11</f>
        <v>29050</v>
      </c>
      <c r="F11" s="61">
        <v>15</v>
      </c>
      <c r="G11" s="13">
        <f>E11*C11*F11</f>
        <v>74077.5</v>
      </c>
      <c r="H11" s="68">
        <v>0.37</v>
      </c>
      <c r="I11" s="31">
        <f>$G11*(1-$H11)</f>
        <v>46668.825</v>
      </c>
      <c r="J11" s="68">
        <v>0.29</v>
      </c>
      <c r="K11" s="13">
        <f>I11*J11</f>
        <v>13533.959249999998</v>
      </c>
      <c r="L11" s="81">
        <v>350</v>
      </c>
      <c r="M11" s="13">
        <f>I11*(L11/D11)</f>
        <v>2745.225</v>
      </c>
      <c r="N11" s="68">
        <v>0.26</v>
      </c>
      <c r="O11" s="36">
        <f>ROUND((I11-M11),-1)</f>
        <v>43920</v>
      </c>
      <c r="P11" s="51">
        <f t="shared" si="0"/>
        <v>0.11101980553716338</v>
      </c>
      <c r="Q11" s="26">
        <f>O11/O$16</f>
        <v>0.3241945256841622</v>
      </c>
    </row>
    <row r="12" spans="1:17" ht="12.75">
      <c r="A12" s="6"/>
      <c r="B12" s="64"/>
      <c r="C12" s="68"/>
      <c r="D12" s="7"/>
      <c r="E12" s="7"/>
      <c r="F12" s="61"/>
      <c r="G12" s="7"/>
      <c r="H12" s="68"/>
      <c r="I12" s="29"/>
      <c r="J12" s="68"/>
      <c r="K12" s="7"/>
      <c r="L12" s="81"/>
      <c r="M12" s="6"/>
      <c r="N12" s="68"/>
      <c r="O12" s="35"/>
      <c r="P12" s="49"/>
      <c r="Q12" s="50"/>
    </row>
    <row r="13" spans="1:17" ht="12.75">
      <c r="A13" s="11" t="s">
        <v>20</v>
      </c>
      <c r="B13" s="65">
        <f>SUM(B14:B15)</f>
        <v>275000</v>
      </c>
      <c r="C13" s="68"/>
      <c r="D13" s="12">
        <f>SUM(D14:D15)</f>
        <v>22</v>
      </c>
      <c r="E13" s="12">
        <f>SUM(E14:E15)</f>
        <v>274978</v>
      </c>
      <c r="F13" s="61"/>
      <c r="G13" s="12">
        <f>SUM(G14:G15)</f>
        <v>24.748350000000002</v>
      </c>
      <c r="H13" s="68"/>
      <c r="I13" s="30">
        <f>SUM(I14:I15)</f>
        <v>19.600693200000002</v>
      </c>
      <c r="J13" s="68"/>
      <c r="K13" s="12">
        <f>SUM(K14:K15)</f>
        <v>4.1814659700000005</v>
      </c>
      <c r="L13" s="81"/>
      <c r="M13" s="14">
        <f>SUM(M14:M15)</f>
        <v>0</v>
      </c>
      <c r="N13" s="68"/>
      <c r="O13" s="36">
        <f>SUM(O14:O15)</f>
        <v>4.218472115352</v>
      </c>
      <c r="P13" s="52">
        <f t="shared" si="0"/>
        <v>4.662781090926546E-05</v>
      </c>
      <c r="Q13" s="52">
        <f>O13/O$16</f>
        <v>3.1138560258388116E-05</v>
      </c>
    </row>
    <row r="14" spans="1:17" ht="12.75">
      <c r="A14" s="6" t="s">
        <v>21</v>
      </c>
      <c r="B14" s="64">
        <v>165000</v>
      </c>
      <c r="C14" s="70">
        <v>0.0001</v>
      </c>
      <c r="D14" s="7">
        <f t="shared" si="1"/>
        <v>16.5</v>
      </c>
      <c r="E14" s="7">
        <f>B14-D14</f>
        <v>164983.5</v>
      </c>
      <c r="F14" s="61">
        <v>1</v>
      </c>
      <c r="G14" s="7">
        <f>E14*F14*C15</f>
        <v>8.249175000000001</v>
      </c>
      <c r="H14" s="68">
        <v>0.1</v>
      </c>
      <c r="I14" s="29">
        <f>$G14*(1-$H14)*(1-$H15)</f>
        <v>6.533346600000002</v>
      </c>
      <c r="J14" s="68">
        <v>0.19</v>
      </c>
      <c r="K14" s="7">
        <f>$G14*(1-$H14)*(1-$H15)*J15</f>
        <v>1.6986701160000004</v>
      </c>
      <c r="L14" s="81">
        <v>0</v>
      </c>
      <c r="M14" s="16">
        <f>($G14)*(1-$H14)*(1-$H15)*(L15/D15)</f>
        <v>0</v>
      </c>
      <c r="N14" s="68">
        <v>0.04</v>
      </c>
      <c r="O14" s="35">
        <f>K14+((I14-K14-M14)*N14*N15)</f>
        <v>1.7102733395616003</v>
      </c>
      <c r="P14" s="49">
        <f t="shared" si="0"/>
        <v>1.554208551509252E-05</v>
      </c>
      <c r="Q14" s="50">
        <f>O14/O$16</f>
        <v>1.2624345494295108E-05</v>
      </c>
    </row>
    <row r="15" spans="1:17" ht="12.75">
      <c r="A15" s="17" t="s">
        <v>22</v>
      </c>
      <c r="B15" s="66">
        <v>110000</v>
      </c>
      <c r="C15" s="71">
        <v>5E-05</v>
      </c>
      <c r="D15" s="18">
        <f t="shared" si="1"/>
        <v>5.5</v>
      </c>
      <c r="E15" s="18">
        <f>B15-D15</f>
        <v>109994.5</v>
      </c>
      <c r="F15" s="72">
        <v>1.5</v>
      </c>
      <c r="G15" s="18">
        <f>E15*C14*F15</f>
        <v>16.499175</v>
      </c>
      <c r="H15" s="73">
        <v>0.12</v>
      </c>
      <c r="I15" s="32">
        <f>$G15*(1-$H15)*(1-$H14)</f>
        <v>13.0673466</v>
      </c>
      <c r="J15" s="73">
        <v>0.26</v>
      </c>
      <c r="K15" s="18">
        <f>$G15*(1-$H15)*(1-$H14)*J14</f>
        <v>2.482795854</v>
      </c>
      <c r="L15" s="82">
        <v>0</v>
      </c>
      <c r="M15" s="21">
        <f>($G15)*(1-$H15)*(1-$H14)*(L14/D14)</f>
        <v>0</v>
      </c>
      <c r="N15" s="73">
        <v>0.06</v>
      </c>
      <c r="O15" s="37">
        <f>K15+((I15-K15-M15)*N15*N14)</f>
        <v>2.5081987757904</v>
      </c>
      <c r="P15" s="49">
        <f t="shared" si="0"/>
        <v>3.108572539417294E-05</v>
      </c>
      <c r="Q15" s="50">
        <f>O15/O$16</f>
        <v>1.851421476409301E-05</v>
      </c>
    </row>
    <row r="16" spans="1:17" ht="12.75">
      <c r="A16" s="41" t="s">
        <v>24</v>
      </c>
      <c r="B16" s="42">
        <f>B2+B6+B10+B13</f>
        <v>849000</v>
      </c>
      <c r="C16" s="39"/>
      <c r="D16" s="42">
        <f>D2+D6+D10+D13</f>
        <v>16192</v>
      </c>
      <c r="E16" s="42">
        <f>E2+E6+E10+E13</f>
        <v>797808</v>
      </c>
      <c r="F16" s="40"/>
      <c r="G16" s="42">
        <f>G2+G6+G10+G13</f>
        <v>505501.54835</v>
      </c>
      <c r="H16" s="38"/>
      <c r="I16" s="43">
        <f>I2+I6+I10+I13</f>
        <v>420364.85989320005</v>
      </c>
      <c r="J16" s="40"/>
      <c r="K16" s="42">
        <f>K2+K6+K10+K13</f>
        <v>85272.40050597</v>
      </c>
      <c r="L16" s="40"/>
      <c r="M16" s="42">
        <f>M2+M6+M10+M13</f>
        <v>19079.077165714283</v>
      </c>
      <c r="N16" s="39"/>
      <c r="O16" s="43">
        <f>O2+O6+O10+O13</f>
        <v>135474.21847211535</v>
      </c>
      <c r="P16" s="46"/>
      <c r="Q16" s="47"/>
    </row>
    <row r="17" spans="2:9" ht="12.75">
      <c r="B17" s="22"/>
      <c r="C17" s="23"/>
      <c r="D17" s="22"/>
      <c r="E17" s="22"/>
      <c r="G17" s="22"/>
      <c r="H17" s="22"/>
      <c r="I17" s="22"/>
    </row>
    <row r="18" ht="13.5" customHeight="1">
      <c r="O18"/>
    </row>
    <row r="19" spans="1:15" ht="12.75">
      <c r="A19" s="77" t="s">
        <v>42</v>
      </c>
      <c r="B19" s="77"/>
      <c r="C19" s="77"/>
      <c r="L19" s="10"/>
      <c r="O19"/>
    </row>
    <row r="20" ht="12.75">
      <c r="O20"/>
    </row>
    <row r="21" ht="12.75">
      <c r="O21"/>
    </row>
    <row r="22" ht="12.75">
      <c r="O22"/>
    </row>
    <row r="23" ht="12.75">
      <c r="O23"/>
    </row>
    <row r="24" ht="12.75">
      <c r="O24"/>
    </row>
    <row r="25" ht="12.75">
      <c r="O25"/>
    </row>
    <row r="26" ht="12.75">
      <c r="O26"/>
    </row>
    <row r="27" spans="12:15" ht="12.75">
      <c r="L27">
        <f>L11*B11</f>
        <v>12250000</v>
      </c>
      <c r="O27"/>
    </row>
    <row r="28" ht="12.75">
      <c r="O28"/>
    </row>
    <row r="29" ht="12.75">
      <c r="O29"/>
    </row>
    <row r="30" ht="12.75">
      <c r="O30"/>
    </row>
    <row r="31" ht="12.75">
      <c r="O31"/>
    </row>
    <row r="32" ht="12.75">
      <c r="O32"/>
    </row>
    <row r="33" ht="12.75">
      <c r="O33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Ternyata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Pisani</dc:creator>
  <cp:keywords/>
  <dc:description/>
  <cp:lastModifiedBy>Elizabeth Pisani</cp:lastModifiedBy>
  <dcterms:created xsi:type="dcterms:W3CDTF">2007-11-15T15:06:57Z</dcterms:created>
  <dcterms:modified xsi:type="dcterms:W3CDTF">2008-01-19T17:24:19Z</dcterms:modified>
  <cp:category/>
  <cp:version/>
  <cp:contentType/>
  <cp:contentStatus/>
</cp:coreProperties>
</file>